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95" windowHeight="105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1" i="1" l="1"/>
  <c r="I11" i="1"/>
  <c r="G11" i="1"/>
  <c r="F11" i="1"/>
  <c r="I10" i="1"/>
  <c r="I7" i="1"/>
  <c r="I9" i="1"/>
  <c r="I6" i="1"/>
  <c r="I8" i="1"/>
  <c r="I5" i="1"/>
  <c r="I4" i="1"/>
  <c r="E11" i="1"/>
  <c r="E10" i="1"/>
  <c r="E9" i="1"/>
  <c r="E8" i="1"/>
  <c r="E7" i="1"/>
  <c r="E6" i="1"/>
  <c r="E5" i="1"/>
  <c r="E4" i="1"/>
  <c r="G10" i="1"/>
  <c r="G9" i="1"/>
  <c r="G8" i="1"/>
  <c r="G7" i="1"/>
  <c r="G6" i="1"/>
  <c r="G5" i="1"/>
  <c r="G4" i="1"/>
  <c r="D11" i="1"/>
  <c r="D10" i="1"/>
  <c r="D9" i="1"/>
  <c r="D8" i="1"/>
  <c r="D7" i="1"/>
  <c r="D6" i="1"/>
  <c r="D5" i="1"/>
  <c r="D4" i="1"/>
  <c r="C11" i="1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F10" i="1"/>
  <c r="F9" i="1"/>
  <c r="F8" i="1"/>
  <c r="F7" i="1"/>
  <c r="F6" i="1"/>
  <c r="F5" i="1"/>
  <c r="F4" i="1"/>
  <c r="L11" i="1"/>
  <c r="L10" i="1"/>
  <c r="L9" i="1"/>
  <c r="L8" i="1"/>
  <c r="L7" i="1"/>
  <c r="L6" i="1"/>
  <c r="L5" i="1"/>
  <c r="L4" i="1"/>
  <c r="J10" i="1"/>
  <c r="J9" i="1"/>
  <c r="J8" i="1"/>
  <c r="J7" i="1"/>
  <c r="J6" i="1"/>
  <c r="J5" i="1"/>
  <c r="J4" i="1"/>
  <c r="J11" i="1"/>
  <c r="K11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Q</author>
  </authors>
  <commentList>
    <comment ref="N7" authorId="0">
      <text>
        <r>
          <rPr>
            <b/>
            <sz val="9"/>
            <color indexed="81"/>
            <rFont val="Tahoma"/>
            <charset val="1"/>
          </rPr>
          <t>Q:</t>
        </r>
        <r>
          <rPr>
            <sz val="9"/>
            <color indexed="81"/>
            <rFont val="Tahoma"/>
            <charset val="1"/>
          </rPr>
          <t xml:space="preserve">
If city is true Neutral add 2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Q:</t>
        </r>
        <r>
          <rPr>
            <sz val="9"/>
            <color indexed="81"/>
            <rFont val="Tahoma"/>
            <charset val="1"/>
          </rPr>
          <t xml:space="preserve">
Any faith more than one alignment step different than the community's official religion is at best unwelcome and at worst outlawed-obvious worshipers of an outlawed deity must pay 150% of the normal price for goods and services and may face mockery, insult, or even violence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Q:</t>
        </r>
        <r>
          <rPr>
            <sz val="9"/>
            <color indexed="81"/>
            <rFont val="Tahoma"/>
            <charset val="1"/>
          </rPr>
          <t xml:space="preserve">
Members of the unwelcome race or races must pay 150% of the normal price for goods and services and may face mockery, insult, or even violence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Q:</t>
        </r>
        <r>
          <rPr>
            <sz val="9"/>
            <color indexed="81"/>
            <rFont val="Tahoma"/>
            <charset val="1"/>
          </rPr>
          <t xml:space="preserve">
Please put a one right under the modifier name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Q:</t>
        </r>
        <r>
          <rPr>
            <sz val="9"/>
            <color indexed="81"/>
            <rFont val="Tahoma"/>
            <charset val="1"/>
          </rPr>
          <t xml:space="preserve">
select a communicable disease-there is a 5% chance each day that a PC is exposed to the disease and must make a fortitude save to avoid contracting the illness</t>
        </r>
      </text>
    </comment>
  </commentList>
</comments>
</file>

<file path=xl/sharedStrings.xml><?xml version="1.0" encoding="utf-8"?>
<sst xmlns="http://schemas.openxmlformats.org/spreadsheetml/2006/main" count="51" uniqueCount="51">
  <si>
    <t>Pathfinder towns</t>
  </si>
  <si>
    <t xml:space="preserve">Thorp </t>
  </si>
  <si>
    <t>Hamlet</t>
  </si>
  <si>
    <t>Village</t>
  </si>
  <si>
    <t>Small town</t>
  </si>
  <si>
    <t>Large town</t>
  </si>
  <si>
    <t>Small city</t>
  </si>
  <si>
    <t>Large city</t>
  </si>
  <si>
    <t xml:space="preserve">Metropolis </t>
  </si>
  <si>
    <t>CORRUPTION</t>
  </si>
  <si>
    <t>CRIME</t>
  </si>
  <si>
    <t>LAW</t>
  </si>
  <si>
    <t>LORE</t>
  </si>
  <si>
    <t>QUALITIES</t>
  </si>
  <si>
    <t>DANGER</t>
  </si>
  <si>
    <t xml:space="preserve">BASE VALUE </t>
  </si>
  <si>
    <t>PURCHASE LIMIT</t>
  </si>
  <si>
    <t xml:space="preserve">SPELLCASTING </t>
  </si>
  <si>
    <t>Qualities</t>
  </si>
  <si>
    <t>Academic</t>
  </si>
  <si>
    <t>Insular</t>
  </si>
  <si>
    <t>Magically Attuned</t>
  </si>
  <si>
    <t xml:space="preserve">Notorious </t>
  </si>
  <si>
    <t xml:space="preserve">Pious </t>
  </si>
  <si>
    <t>Proserous</t>
  </si>
  <si>
    <t>Racially Intolerrant</t>
  </si>
  <si>
    <t xml:space="preserve">Rumormongering Citizens </t>
  </si>
  <si>
    <t>Strategic Location</t>
  </si>
  <si>
    <t xml:space="preserve">Superstitious </t>
  </si>
  <si>
    <t>Tourist Attraction</t>
  </si>
  <si>
    <t>Alignment</t>
  </si>
  <si>
    <t>Lawful</t>
  </si>
  <si>
    <t>Good</t>
  </si>
  <si>
    <t>Chaotic</t>
  </si>
  <si>
    <t>Evil</t>
  </si>
  <si>
    <t>Neutral</t>
  </si>
  <si>
    <t>Government</t>
  </si>
  <si>
    <t>Autocracy</t>
  </si>
  <si>
    <t>Council</t>
  </si>
  <si>
    <t>Magical</t>
  </si>
  <si>
    <t>Overlord</t>
  </si>
  <si>
    <t>Secret syndicate</t>
  </si>
  <si>
    <t>SOCIETY</t>
  </si>
  <si>
    <t>Diadvantages</t>
  </si>
  <si>
    <t>Anarchy</t>
  </si>
  <si>
    <t xml:space="preserve">Cursed  </t>
  </si>
  <si>
    <t>Hunted</t>
  </si>
  <si>
    <t>Impoverished</t>
  </si>
  <si>
    <t xml:space="preserve">Plagued </t>
  </si>
  <si>
    <t>ECONOMY</t>
  </si>
  <si>
    <t>Holy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</si>
</sst>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H21" sqref="H21"/>
    </sheetView>
  </sheetViews>
  <sheetFormatPr defaultRowHeight="15" x14ac:dyDescent="0.25"/>
  <cols>
    <col min="1" max="1" width="10.7109375" customWidth="1"/>
    <col min="2" max="2" width="12.7109375" customWidth="1"/>
    <col min="4" max="4" width="10.28515625" customWidth="1"/>
    <col min="5" max="5" width="10" customWidth="1"/>
    <col min="7" max="7" width="10.140625" customWidth="1"/>
    <col min="8" max="8" width="10.5703125" customWidth="1"/>
    <col min="10" max="10" width="12.42578125" customWidth="1"/>
    <col min="11" max="11" width="16.7109375" customWidth="1"/>
    <col min="12" max="12" width="13.28515625" customWidth="1"/>
  </cols>
  <sheetData>
    <row r="1" spans="1:18" ht="21" x14ac:dyDescent="0.35">
      <c r="A1" s="10" t="s">
        <v>0</v>
      </c>
      <c r="B1" s="10"/>
      <c r="C1" s="10"/>
      <c r="D1" s="10"/>
      <c r="E1" s="10"/>
      <c r="F1" s="10"/>
      <c r="G1" s="10"/>
    </row>
    <row r="2" spans="1:18" ht="20.25" customHeight="1" x14ac:dyDescent="0.25">
      <c r="B2" s="6" t="s">
        <v>9</v>
      </c>
      <c r="C2" s="6" t="s">
        <v>10</v>
      </c>
      <c r="D2" s="6" t="s">
        <v>49</v>
      </c>
      <c r="E2" s="6" t="s">
        <v>11</v>
      </c>
      <c r="F2" s="6" t="s">
        <v>12</v>
      </c>
      <c r="G2" s="6" t="s">
        <v>42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3"/>
      <c r="N2" s="3" t="s">
        <v>30</v>
      </c>
      <c r="P2" s="9" t="s">
        <v>36</v>
      </c>
      <c r="Q2" s="9"/>
      <c r="R2" s="9"/>
    </row>
    <row r="3" spans="1:18" ht="13.5" customHeight="1" x14ac:dyDescent="0.25">
      <c r="B3" s="7"/>
      <c r="C3" s="7"/>
      <c r="D3" s="7"/>
      <c r="E3" s="7"/>
      <c r="F3" s="7"/>
      <c r="G3" s="7"/>
      <c r="H3" s="11"/>
      <c r="I3" s="11"/>
      <c r="J3" s="11"/>
      <c r="K3" s="11"/>
      <c r="L3" s="11"/>
      <c r="N3" t="s">
        <v>31</v>
      </c>
      <c r="O3" s="1"/>
      <c r="P3" s="8" t="s">
        <v>37</v>
      </c>
      <c r="Q3" s="8"/>
      <c r="R3" s="4"/>
    </row>
    <row r="4" spans="1:18" x14ac:dyDescent="0.25">
      <c r="A4" t="s">
        <v>1</v>
      </c>
      <c r="B4" s="1">
        <f>B3*-4-4+O6+(-2*B15)-R5*2+2*R6+2*R7+D19-F19*2+A19*4</f>
        <v>-4</v>
      </c>
      <c r="C4" s="1">
        <f>C3*-4-4+O5-C15+E15-4*K15-2*R6+2*R7+D19-F19*2+A19*4</f>
        <v>-4</v>
      </c>
      <c r="D4" s="1">
        <f>D3*-4-4+G15+J15+L15+2*R7-C19*4-F19*2-A19*4</f>
        <v>-4</v>
      </c>
      <c r="E4" s="1">
        <f>E3*-4-4+O3+C15-E15+2*K15-2*R4+2*R6-6*R7-C19*4-F19*2-A19*6</f>
        <v>-4</v>
      </c>
      <c r="F4" s="1">
        <f>F3*-4-4+O7+A15+I15+2*R5-2*R4-F19*2</f>
        <v>-4</v>
      </c>
      <c r="G4" s="1">
        <f>G3*-4-4+O4-I15+2*K15+4*R4-R5*2-2*R6-C19*4-F19*2-A19*4</f>
        <v>-4</v>
      </c>
      <c r="H4" s="1">
        <v>1</v>
      </c>
      <c r="I4" s="1">
        <f>$I$3-10+E15*10+C19*20+A19*20</f>
        <v>-10</v>
      </c>
      <c r="J4" s="1">
        <f>50+((D15+L15)*50*20%)+((E15+G15)*50*30%)+(J15*50*10%)-(C19*50*20%)-(D19*50*50%)</f>
        <v>50</v>
      </c>
      <c r="K4" s="1">
        <f>500+(D15*500*20%)+((E15+G15)*500*50%)-(D19*500*50%)</f>
        <v>500</v>
      </c>
      <c r="L4" s="1">
        <f>1+A15+B15*2+F15-2*K15+R5+2*D15-D19*1</f>
        <v>1</v>
      </c>
      <c r="N4" t="s">
        <v>32</v>
      </c>
      <c r="O4" s="1"/>
      <c r="P4" s="8" t="s">
        <v>38</v>
      </c>
      <c r="Q4" s="8"/>
      <c r="R4" s="4"/>
    </row>
    <row r="5" spans="1:18" x14ac:dyDescent="0.25">
      <c r="A5" t="s">
        <v>2</v>
      </c>
      <c r="B5" s="1">
        <f>B3*-4-2+O6+(-2*B15)-R5*2+2*R6+2*R7+D19-F19*2+A19*4</f>
        <v>-2</v>
      </c>
      <c r="C5" s="1">
        <f>C3*-4-2+O5-C15+E15-4*K15-2*R6+2*R7+D19-F19*2+A19*4</f>
        <v>-2</v>
      </c>
      <c r="D5" s="1">
        <f>D3*-4-2+G15+J15+L15+2*R7-C19*4-F19*2-A19*4</f>
        <v>-2</v>
      </c>
      <c r="E5" s="1">
        <f>E3*-4-2+O3+C15-E15+2*K15-2*R4+2*R6-6*R7-C19*4-F19*2-A19*6</f>
        <v>-2</v>
      </c>
      <c r="F5" s="1">
        <f>F3*-4-2+O7+A15+I15+2*R5-2*R4-F19*2</f>
        <v>-2</v>
      </c>
      <c r="G5" s="1">
        <f>G3*-4-2+O4-I15+2*K15+4*R4-R5*2-2*R6-C19*4-F19*2-A19*4</f>
        <v>-2</v>
      </c>
      <c r="H5" s="1">
        <v>1</v>
      </c>
      <c r="I5" s="1">
        <f>$I$3-5+E15*10+C19*20+A19*20</f>
        <v>-5</v>
      </c>
      <c r="J5" s="1">
        <f>200+((D15+L15)*200*20%)+((E15+G15)*200*30%)+(J15*200*10%)-(C19*200*20%)-(D19*200*50%)</f>
        <v>200</v>
      </c>
      <c r="K5" s="1">
        <f>1000+(D15*1000*20%)+((E15+G15)*1000*50%)-(D19*1000*50%)</f>
        <v>1000</v>
      </c>
      <c r="L5" s="1">
        <f>2+A15+B15*2+F15-2*K15+R5+2*D15-D19*1</f>
        <v>2</v>
      </c>
      <c r="N5" t="s">
        <v>33</v>
      </c>
      <c r="O5" s="1"/>
      <c r="P5" s="8" t="s">
        <v>39</v>
      </c>
      <c r="Q5" s="8"/>
      <c r="R5" s="4"/>
    </row>
    <row r="6" spans="1:18" x14ac:dyDescent="0.25">
      <c r="A6" t="s">
        <v>3</v>
      </c>
      <c r="B6" s="1">
        <f>B3*-4-1+O6+(-2*B15)-R5*2+2*R6+2*R7+D19-F19*2+A19*4</f>
        <v>-1</v>
      </c>
      <c r="C6" s="1">
        <f>C3*-4-1+O5-C15+E15-4*K15-2*R6+2*R7+D19-F19*2+A19*4</f>
        <v>-1</v>
      </c>
      <c r="D6" s="1">
        <f>D3*-4-1+G15+J15+L15+2*R7-C19*4-F19*2-A19*4</f>
        <v>-1</v>
      </c>
      <c r="E6" s="1">
        <f>E3*-4-1+O3+C15-E15+2*K15-2*R4+2*R6-6*R7-C19*4-F19*2-A19*6</f>
        <v>-1</v>
      </c>
      <c r="F6" s="1">
        <f>F3*-4-1+O7+A15+I15+2*R5-2*R4-F19*2</f>
        <v>-1</v>
      </c>
      <c r="G6" s="1">
        <f>G3*-4-1+O4-I15+2*K15+4*R4-R5*2-2*R6-C19*4-F19*2-A19*4</f>
        <v>-1</v>
      </c>
      <c r="H6" s="1">
        <v>2</v>
      </c>
      <c r="I6" s="1">
        <f>$I$3+E15*10+C19*20+A19*20</f>
        <v>0</v>
      </c>
      <c r="J6" s="1">
        <f>500+((D15+L15)*500*20%)+((E15+G15)*500*30%)+(J15*500*10%)-(C19*500*20%)-(D19*500*50%)</f>
        <v>500</v>
      </c>
      <c r="K6" s="1">
        <f>2500+(D15*2500*20%)+((E15+G15)*2500*20%)-(D19*2500*50%)</f>
        <v>2500</v>
      </c>
      <c r="L6" s="1">
        <f>3+A15+B15*2+F15-2*K15+R5+2*D15-D19*2</f>
        <v>3</v>
      </c>
      <c r="N6" t="s">
        <v>34</v>
      </c>
      <c r="O6" s="1"/>
      <c r="P6" s="8" t="s">
        <v>40</v>
      </c>
      <c r="Q6" s="8"/>
      <c r="R6" s="4"/>
    </row>
    <row r="7" spans="1:18" x14ac:dyDescent="0.25">
      <c r="A7" t="s">
        <v>4</v>
      </c>
      <c r="B7" s="1">
        <f>B3*-4+O6+(-2*B15)-R5*2+2*R6+2*R7+D19-F19*2+A19*4</f>
        <v>0</v>
      </c>
      <c r="C7" s="1">
        <f>C3*-4+O5-C15+E15-4*K15-2*R6+2*R7+D19-F19*2+A19*4</f>
        <v>0</v>
      </c>
      <c r="D7" s="1">
        <f>D3*-4+G15+J15+L15+2*R7-C19*4-F19*2-A19*4</f>
        <v>0</v>
      </c>
      <c r="E7" s="1">
        <f>E3*-4+O3+C15-E15+2*K15-2*R4+2*R6-6*R7-C19*4-F19*2-A19*6</f>
        <v>0</v>
      </c>
      <c r="F7" s="1">
        <f>F3*-4+O7+A15+I15+2*R5-2*R4-F19*2</f>
        <v>0</v>
      </c>
      <c r="G7" s="1">
        <f>G3*-4+O4-I15+2*K15+4*R4-R5*2-2*R6-C19*4-F19*2-A19*4</f>
        <v>0</v>
      </c>
      <c r="H7" s="1">
        <v>2</v>
      </c>
      <c r="I7" s="1">
        <f>$I$3+E15*10+C19*20+A19*20</f>
        <v>0</v>
      </c>
      <c r="J7" s="7">
        <f>1000+((D15+L15)*1000*20%)+((E15+G15)*1000*30%)+(J15*1000*10%)-(C19*1000*20%)-(D19*1000*50%)</f>
        <v>1000</v>
      </c>
      <c r="K7" s="1">
        <f>5000+(D15*5000*20%)+((E15+G15)*5000*50%)-(D19*5000*50%)</f>
        <v>5000</v>
      </c>
      <c r="L7" s="1">
        <f>4+A15+B15*2+F15-2*K15+R5+2*D15-D19*2</f>
        <v>4</v>
      </c>
      <c r="N7" t="s">
        <v>35</v>
      </c>
      <c r="O7" s="1"/>
      <c r="P7" s="8" t="s">
        <v>41</v>
      </c>
      <c r="Q7" s="8"/>
      <c r="R7" s="4"/>
    </row>
    <row r="8" spans="1:18" x14ac:dyDescent="0.25">
      <c r="A8" t="s">
        <v>5</v>
      </c>
      <c r="B8" s="1">
        <f>B3*-4+O6+(-2*B15)-R5*2+2*R6+2*R7+D19-F19*2+A19*4</f>
        <v>0</v>
      </c>
      <c r="C8" s="1">
        <f>C3*-4+O5-C15+E15-4*K15-2*R6+2*R7+D19-F19*2+A19*4</f>
        <v>0</v>
      </c>
      <c r="D8" s="1">
        <f>D3*-4+G15+J15+L15+2*R7-C19*4-F19*2-A19*4</f>
        <v>0</v>
      </c>
      <c r="E8" s="1">
        <f>E3*-4+O3+C15-E15+2*K15-2*R4+2*R6-6*R7-C19*4-F19*2-A19*6</f>
        <v>0</v>
      </c>
      <c r="F8" s="1">
        <f>F3*-4+O7+A15+I15+2*R5-2*R4-F19*2</f>
        <v>0</v>
      </c>
      <c r="G8" s="1">
        <f>G3*-4+O4-I15+2*K15+4*R4-R5*2-2*R6-C19*4-F19*2-A19*4</f>
        <v>0</v>
      </c>
      <c r="H8" s="1">
        <v>3</v>
      </c>
      <c r="I8" s="1">
        <f>$I$3+5+E15*10+C19*20+A19*20</f>
        <v>5</v>
      </c>
      <c r="J8" s="1">
        <f>2000+((D15+L15)*2000*20%)+((E15+G15)*2000*30%)+(J15*2000*10%)-(C19*2000*20%)-(D19*2000*50%)</f>
        <v>2000</v>
      </c>
      <c r="K8" s="1">
        <f>10000+(D15*10000*20%)+((E15+G15)*10000*50%)-(D19*10000*50%)</f>
        <v>10000</v>
      </c>
      <c r="L8" s="1">
        <f>5+A15+B15*2+F15-2*K15+R5+2*D15-D19*3</f>
        <v>5</v>
      </c>
    </row>
    <row r="9" spans="1:18" x14ac:dyDescent="0.25">
      <c r="A9" t="s">
        <v>6</v>
      </c>
      <c r="B9" s="1">
        <f>B3*-4+1+O6+(-2*B15)-R5*2+2*R6+2*R7+D19-F19*2+A19*4</f>
        <v>1</v>
      </c>
      <c r="C9" s="1">
        <f>C3*-4+1+O5-C15+E15-4*K15-2*R6+2*R7+D19-F19*2+A19*4</f>
        <v>1</v>
      </c>
      <c r="D9" s="1">
        <f>D3*-4+1+G15+J15+L15+2*R7-C19*4-F19*2-A19*4</f>
        <v>1</v>
      </c>
      <c r="E9" s="1">
        <f>E3*-4+1+O3+C15-E15+2*K15-2*R4+2*R6-6*R7-C19*4-F19*2-A19*6</f>
        <v>1</v>
      </c>
      <c r="F9" s="1">
        <f>F3*-4+1+O7+A15+I15+2*R5-2*R4-F19*2</f>
        <v>1</v>
      </c>
      <c r="G9" s="1">
        <f>G3*-4+1+O4-I15+2*K15+4*R4-R5*2-2*R6-C19*4-F19*2-A19*4</f>
        <v>1</v>
      </c>
      <c r="H9" s="1">
        <v>4</v>
      </c>
      <c r="I9" s="1">
        <f>$I$3+5+E15*10+C19*20+A19*20</f>
        <v>5</v>
      </c>
      <c r="J9" s="1">
        <f>4000+((D15+L15)*4000*20%)+((E15+G15)*4000*30%)+(J15*4000*10%)-(C19*4000*20%)-(D19*4000*50%)</f>
        <v>4000</v>
      </c>
      <c r="K9" s="1">
        <f>25000+(D15*25000*20%)+((E15+G15)*25000*50%)-(D19*25000*50%)</f>
        <v>25000</v>
      </c>
      <c r="L9" s="1">
        <f>6+A15+B15*2+F15-2*K15+R5+2*D15-D19*3</f>
        <v>6</v>
      </c>
    </row>
    <row r="10" spans="1:18" x14ac:dyDescent="0.25">
      <c r="A10" t="s">
        <v>7</v>
      </c>
      <c r="B10" s="1">
        <f>B3*-4+2+O6+(-2*B15)-R5*2+2*R6+2*R7+D19-F19*2+A19*4</f>
        <v>2</v>
      </c>
      <c r="C10" s="1">
        <f>C3*-4+2+O5-C15+E15-4*K15-2*R6+2*R7+D19-F19*2+A19*4</f>
        <v>2</v>
      </c>
      <c r="D10" s="1">
        <f>D3*-4+2+G15+J15+L15+2*R7-C19*4-F19*2-A19*4</f>
        <v>2</v>
      </c>
      <c r="E10" s="1">
        <f>E3*-4+2+O3+C15-E15+2*K15-2*R4+2*R6-6*R7-C19*4-F19*2-A19*6</f>
        <v>2</v>
      </c>
      <c r="F10" s="1">
        <f>F3*-4+2+O7+A15+I15+2*R5-2*R4-F19*2</f>
        <v>2</v>
      </c>
      <c r="G10" s="1">
        <f>G3*-4+2+O4-I15+2*K15+4*R4-R5*2-2*R6-C19*4-F19*2-A19*4</f>
        <v>2</v>
      </c>
      <c r="H10" s="1">
        <v>5</v>
      </c>
      <c r="I10" s="1">
        <f>$I$3+10+E15*10+C19*20+A19*20</f>
        <v>10</v>
      </c>
      <c r="J10" s="1">
        <f>8000+((D15+L15)*8000*20%)+((E15+G15)*8000*30%)+(J15*8000*10%)-(C19*8000*20%)-(D19*8000*50%)</f>
        <v>8000</v>
      </c>
      <c r="K10" s="1">
        <f>50000+(D15*50000*20%)+((E15+G15)*50000*50%)-(D19*50000*50%)</f>
        <v>50000</v>
      </c>
      <c r="L10" s="1">
        <f>7+A15+B15*2+F15-2*K15+R5+2*D15-D19*4</f>
        <v>7</v>
      </c>
    </row>
    <row r="11" spans="1:18" x14ac:dyDescent="0.25">
      <c r="A11" t="s">
        <v>8</v>
      </c>
      <c r="B11" s="1">
        <f>B3*-4+4+O6+(-2*B15)-R5*2+2*R6+2*R7+D19-F19*2+A19*4</f>
        <v>4</v>
      </c>
      <c r="C11" s="1">
        <f>C3*-4+4+O5-C15+E15-4*K15-2*R6+2*R7+D19-F19*2+A19*4</f>
        <v>4</v>
      </c>
      <c r="D11" s="1">
        <f>D3*-4+4+G15+J15+L15+2*R7-C19*4-F19*2-A19*4</f>
        <v>4</v>
      </c>
      <c r="E11" s="1">
        <f>E3*-4+4+O3+C15-E15+2*K15-2*R4+2*R6-6*R7-C19*4-F19*2-A19*6</f>
        <v>4</v>
      </c>
      <c r="F11" s="1">
        <f>F3*-4+4+O7+A15+I15+2*R5-2*R4-F19*2</f>
        <v>4</v>
      </c>
      <c r="G11" s="1">
        <f>G3*-4+4+O4-I15+2*K15+4*R4-R5*2-2*R6-C19*4-F19*2-A19*4</f>
        <v>4</v>
      </c>
      <c r="H11" s="1">
        <v>6</v>
      </c>
      <c r="I11" s="7">
        <f>$I$3+10+E15*10+C19*20+A19*20</f>
        <v>10</v>
      </c>
      <c r="J11" s="1">
        <f>16000+((D15+L15)*16000*20%)+((E15+G15)*16000*30%)+(J15*16000*10%)-(C19*16000*20%)-(D19*16000*50%)</f>
        <v>16000</v>
      </c>
      <c r="K11" s="1">
        <f>100000+(D15*100000*20%)+((E15+G15)*100000*50%)-(D19*100000*50%)</f>
        <v>100000</v>
      </c>
      <c r="L11" s="1">
        <f>8+A15+B15*2+F15-2*K15+R5+2*D15-D19*4</f>
        <v>8</v>
      </c>
    </row>
    <row r="13" spans="1:18" x14ac:dyDescent="0.25">
      <c r="A13" t="s">
        <v>18</v>
      </c>
    </row>
    <row r="14" spans="1:18" ht="52.5" customHeight="1" x14ac:dyDescent="0.25">
      <c r="A14" s="2" t="s">
        <v>19</v>
      </c>
      <c r="B14" s="2" t="s">
        <v>50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24</v>
      </c>
      <c r="H14" s="2" t="s">
        <v>25</v>
      </c>
      <c r="I14" s="2" t="s">
        <v>26</v>
      </c>
      <c r="J14" s="2" t="s">
        <v>27</v>
      </c>
      <c r="K14" s="2" t="s">
        <v>28</v>
      </c>
      <c r="L14" s="2" t="s">
        <v>29</v>
      </c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8" x14ac:dyDescent="0.25">
      <c r="A16" s="8" t="s">
        <v>43</v>
      </c>
      <c r="B16" s="8"/>
    </row>
    <row r="18" spans="1:18" x14ac:dyDescent="0.25">
      <c r="A18" s="5" t="s">
        <v>44</v>
      </c>
      <c r="B18" s="5" t="s">
        <v>45</v>
      </c>
      <c r="C18" s="5" t="s">
        <v>46</v>
      </c>
      <c r="D18" s="8" t="s">
        <v>47</v>
      </c>
      <c r="E18" s="8"/>
      <c r="F18" s="5" t="s">
        <v>48</v>
      </c>
      <c r="Q18" s="8"/>
      <c r="R18" s="8"/>
    </row>
    <row r="19" spans="1:18" x14ac:dyDescent="0.25">
      <c r="A19" s="5"/>
      <c r="B19" s="5"/>
      <c r="C19" s="5"/>
      <c r="D19" s="8"/>
      <c r="E19" s="8"/>
      <c r="F19" s="5"/>
      <c r="Q19" s="8"/>
      <c r="R19" s="8"/>
    </row>
    <row r="20" spans="1:18" x14ac:dyDescent="0.25">
      <c r="Q20" s="8"/>
      <c r="R20" s="8"/>
    </row>
  </sheetData>
  <mergeCells count="18">
    <mergeCell ref="A16:B16"/>
    <mergeCell ref="D18:E18"/>
    <mergeCell ref="D19:E19"/>
    <mergeCell ref="P7:Q7"/>
    <mergeCell ref="P6:Q6"/>
    <mergeCell ref="P5:Q5"/>
    <mergeCell ref="Q18:R18"/>
    <mergeCell ref="Q19:R19"/>
    <mergeCell ref="Q20:R20"/>
    <mergeCell ref="P4:Q4"/>
    <mergeCell ref="P3:Q3"/>
    <mergeCell ref="P2:R2"/>
    <mergeCell ref="A1:G1"/>
    <mergeCell ref="L2:L3"/>
    <mergeCell ref="K2:K3"/>
    <mergeCell ref="J2:J3"/>
    <mergeCell ref="I2:I3"/>
    <mergeCell ref="H2:H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2011-01-09T01:32:32Z</dcterms:created>
  <dcterms:modified xsi:type="dcterms:W3CDTF">2011-04-25T14:49:05Z</dcterms:modified>
</cp:coreProperties>
</file>